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230" activeTab="2"/>
  </bookViews>
  <sheets>
    <sheet name="Коррел" sheetId="4" r:id="rId1"/>
    <sheet name="5-Регр" sheetId="5" r:id="rId2"/>
    <sheet name="1" sheetId="1" r:id="rId3"/>
    <sheet name="2" sheetId="2" r:id="rId4"/>
    <sheet name="3" sheetId="3" r:id="rId5"/>
  </sheets>
  <calcPr calcId="145621"/>
</workbook>
</file>

<file path=xl/calcChain.xml><?xml version="1.0" encoding="utf-8"?>
<calcChain xmlns="http://schemas.openxmlformats.org/spreadsheetml/2006/main">
  <c r="F66" i="3" l="1"/>
  <c r="E66" i="3"/>
  <c r="E64" i="3"/>
  <c r="E65" i="3"/>
  <c r="E63" i="3"/>
  <c r="F64" i="3"/>
  <c r="F65" i="3"/>
  <c r="F63" i="3"/>
  <c r="B66" i="3" a="1"/>
  <c r="B66" i="3"/>
  <c r="C66" i="3"/>
  <c r="D66" i="3"/>
  <c r="D64" i="3"/>
  <c r="D65" i="3"/>
  <c r="D63" i="3"/>
  <c r="C64" i="3"/>
  <c r="C65" i="3"/>
  <c r="C63" i="3"/>
  <c r="B64" i="3"/>
  <c r="B65" i="3"/>
  <c r="B63" i="3"/>
  <c r="D52" i="3"/>
  <c r="D51" i="3"/>
  <c r="C51" i="3"/>
  <c r="C53" i="3"/>
  <c r="D54" i="3"/>
  <c r="G53" i="3" s="1"/>
  <c r="C54" i="3"/>
  <c r="G52" i="3" s="1"/>
  <c r="D39" i="3"/>
  <c r="D42" i="3" s="1"/>
  <c r="G41" i="3" s="1"/>
  <c r="C39" i="3"/>
  <c r="B41" i="3"/>
  <c r="B40" i="3"/>
  <c r="B42" i="3" s="1"/>
  <c r="G39" i="3" s="1"/>
  <c r="C28" i="3"/>
  <c r="D27" i="3"/>
  <c r="B28" i="3"/>
  <c r="B27" i="3"/>
  <c r="D29" i="3"/>
  <c r="G28" i="3" s="1"/>
  <c r="C29" i="3"/>
  <c r="G27" i="3" s="1"/>
  <c r="E14" i="3"/>
  <c r="G13" i="3"/>
  <c r="E13" i="3"/>
  <c r="B16" i="3"/>
  <c r="B15" i="3"/>
  <c r="D13" i="3"/>
  <c r="B14" i="3"/>
  <c r="C13" i="3"/>
  <c r="B53" i="3" l="1"/>
  <c r="E53" i="3" s="1"/>
  <c r="E51" i="3"/>
  <c r="B52" i="3"/>
  <c r="E39" i="3"/>
  <c r="C41" i="3"/>
  <c r="C42" i="3" s="1"/>
  <c r="G40" i="3" s="1"/>
  <c r="E40" i="3"/>
  <c r="E28" i="3"/>
  <c r="E26" i="3"/>
  <c r="C15" i="3"/>
  <c r="D16" i="3"/>
  <c r="G15" i="3" s="1"/>
  <c r="B54" i="3" l="1"/>
  <c r="G51" i="3" s="1"/>
  <c r="E52" i="3"/>
  <c r="E41" i="3"/>
  <c r="B29" i="3"/>
  <c r="G26" i="3" s="1"/>
  <c r="E27" i="3"/>
  <c r="E15" i="3"/>
  <c r="C16" i="3"/>
  <c r="G14" i="3" s="1"/>
  <c r="E54" i="3" l="1"/>
  <c r="F52" i="3" s="1"/>
  <c r="H52" i="3" s="1"/>
  <c r="E42" i="3"/>
  <c r="E29" i="3"/>
  <c r="E16" i="3"/>
  <c r="F53" i="3" l="1"/>
  <c r="H53" i="3" s="1"/>
  <c r="F51" i="3"/>
  <c r="F41" i="3"/>
  <c r="H41" i="3" s="1"/>
  <c r="F39" i="3"/>
  <c r="F40" i="3"/>
  <c r="H40" i="3" s="1"/>
  <c r="F27" i="3"/>
  <c r="F28" i="3"/>
  <c r="H28" i="3" s="1"/>
  <c r="H27" i="3"/>
  <c r="F26" i="3"/>
  <c r="F13" i="3"/>
  <c r="F14" i="3"/>
  <c r="H14" i="3" s="1"/>
  <c r="F15" i="3"/>
  <c r="H15" i="3" s="1"/>
  <c r="H51" i="3" l="1"/>
  <c r="H54" i="3" s="1"/>
  <c r="B56" i="3" s="1"/>
  <c r="B58" i="3" s="1"/>
  <c r="F54" i="3"/>
  <c r="H39" i="3"/>
  <c r="H42" i="3" s="1"/>
  <c r="B44" i="3" s="1"/>
  <c r="B46" i="3" s="1"/>
  <c r="F42" i="3"/>
  <c r="H26" i="3"/>
  <c r="H29" i="3" s="1"/>
  <c r="B31" i="3" s="1"/>
  <c r="B33" i="3" s="1"/>
  <c r="F29" i="3"/>
  <c r="H13" i="3"/>
  <c r="H16" i="3" s="1"/>
  <c r="B18" i="3" s="1"/>
  <c r="B20" i="3" s="1"/>
  <c r="F16" i="3"/>
  <c r="G4" i="2"/>
  <c r="I4" i="2" s="1"/>
  <c r="K4" i="2" s="1"/>
  <c r="K5" i="2"/>
  <c r="I5" i="2"/>
  <c r="I25" i="2"/>
  <c r="J25" i="2"/>
  <c r="K25" i="2"/>
  <c r="L25" i="2"/>
  <c r="I26" i="2"/>
  <c r="J26" i="2"/>
  <c r="K26" i="2"/>
  <c r="L26" i="2"/>
  <c r="I27" i="2"/>
  <c r="J27" i="2"/>
  <c r="K27" i="2"/>
  <c r="L27" i="2"/>
  <c r="L23" i="2"/>
  <c r="K23" i="2"/>
  <c r="J23" i="2"/>
  <c r="I23" i="2"/>
  <c r="F25" i="2"/>
  <c r="F26" i="2"/>
  <c r="F27" i="2"/>
  <c r="F23" i="2"/>
  <c r="F19" i="2"/>
  <c r="E19" i="2"/>
  <c r="C19" i="2"/>
  <c r="D19" i="2"/>
  <c r="B19" i="2"/>
  <c r="F18" i="2"/>
  <c r="E18" i="2"/>
  <c r="D18" i="2"/>
  <c r="C18" i="2"/>
  <c r="B18" i="2"/>
  <c r="G11" i="2"/>
  <c r="H12" i="2"/>
  <c r="G12" i="2"/>
  <c r="G13" i="2"/>
  <c r="G14" i="2"/>
  <c r="G15" i="2"/>
  <c r="F16" i="2"/>
  <c r="E17" i="2"/>
  <c r="E16" i="2"/>
  <c r="D16" i="2"/>
  <c r="C16" i="2"/>
  <c r="G6" i="2"/>
  <c r="G5" i="2"/>
  <c r="G3" i="2"/>
  <c r="G7" i="2"/>
  <c r="C28" i="1"/>
  <c r="C29" i="1"/>
  <c r="C30" i="1"/>
  <c r="C31" i="1"/>
  <c r="C27" i="1"/>
  <c r="F24" i="1"/>
  <c r="G17" i="1"/>
  <c r="F23" i="1"/>
  <c r="F22" i="1"/>
  <c r="F24" i="2" l="1"/>
  <c r="I24" i="2" l="1"/>
  <c r="L24" i="2"/>
  <c r="J24" i="2"/>
  <c r="K24" i="2"/>
  <c r="B18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2" i="1"/>
</calcChain>
</file>

<file path=xl/sharedStrings.xml><?xml version="1.0" encoding="utf-8"?>
<sst xmlns="http://schemas.openxmlformats.org/spreadsheetml/2006/main" count="202" uniqueCount="104">
  <si>
    <t>China</t>
  </si>
  <si>
    <t>United States</t>
  </si>
  <si>
    <t>India</t>
  </si>
  <si>
    <t>European Union</t>
  </si>
  <si>
    <t>Japan</t>
  </si>
  <si>
    <t>Rest of the world</t>
  </si>
  <si>
    <t>Итого</t>
  </si>
  <si>
    <t>Итого продажи (У)</t>
  </si>
  <si>
    <t>Год (Х)</t>
  </si>
  <si>
    <t>У = а0 + а1*Х</t>
  </si>
  <si>
    <t>Column 1</t>
  </si>
  <si>
    <t>Column 2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</si>
  <si>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</si>
  <si>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</si>
  <si>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</si>
  <si>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</si>
  <si>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</si>
  <si>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</si>
  <si>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</si>
  <si>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</si>
  <si>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</si>
  <si>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</si>
  <si>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</si>
  <si>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</si>
  <si>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</si>
  <si>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</si>
  <si>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</si>
  <si>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</si>
  <si>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</si>
  <si>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</si>
  <si>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</si>
  <si>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</si>
  <si>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</si>
  <si>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95,0%</t>
  </si>
  <si>
    <t>Upper 95,0%</t>
  </si>
  <si>
    <t>Intercept (a0)</t>
  </si>
  <si>
    <t>X Variable 1 (a1)</t>
  </si>
  <si>
    <t>У = -4975,56 + 2,51*Х</t>
  </si>
  <si>
    <t>6.1</t>
  </si>
  <si>
    <t>К-т детерминации</t>
  </si>
  <si>
    <t>+</t>
  </si>
  <si>
    <t>6.2</t>
  </si>
  <si>
    <t>Згачимость критерия F</t>
  </si>
  <si>
    <t>6.3</t>
  </si>
  <si>
    <t>К-т вариации = Ср.отк. / Уср * 100%</t>
  </si>
  <si>
    <t>10 - 20%</t>
  </si>
  <si>
    <t>Составление должностных инструкций</t>
  </si>
  <si>
    <t>Поиск сотрудников</t>
  </si>
  <si>
    <t>Оснащение отдела</t>
  </si>
  <si>
    <t>Создание положения об отделе маркетинга</t>
  </si>
  <si>
    <t>Работы</t>
  </si>
  <si>
    <t>Код работы</t>
  </si>
  <si>
    <t>А</t>
  </si>
  <si>
    <t>В</t>
  </si>
  <si>
    <t>С</t>
  </si>
  <si>
    <t>D</t>
  </si>
  <si>
    <t>Длительность работы</t>
  </si>
  <si>
    <t>Опт</t>
  </si>
  <si>
    <t>НВ</t>
  </si>
  <si>
    <t>Пес</t>
  </si>
  <si>
    <t>Ожид = (Опт + 4*НВ + Пес)/6</t>
  </si>
  <si>
    <t>Штат</t>
  </si>
  <si>
    <t>0-1</t>
  </si>
  <si>
    <t>1-3</t>
  </si>
  <si>
    <t>1-2</t>
  </si>
  <si>
    <t>3-4</t>
  </si>
  <si>
    <t>2-3</t>
  </si>
  <si>
    <t>-</t>
  </si>
  <si>
    <t>Индекс работы (i-j)</t>
  </si>
  <si>
    <t>i</t>
  </si>
  <si>
    <t>j</t>
  </si>
  <si>
    <t>Тр1</t>
  </si>
  <si>
    <t>Тр2</t>
  </si>
  <si>
    <t>Tп1</t>
  </si>
  <si>
    <t>Tп2</t>
  </si>
  <si>
    <t>Резерв</t>
  </si>
  <si>
    <t>Тп</t>
  </si>
  <si>
    <t>Начало</t>
  </si>
  <si>
    <t>РС</t>
  </si>
  <si>
    <t>ПС</t>
  </si>
  <si>
    <t>Конец</t>
  </si>
  <si>
    <t>Резервы</t>
  </si>
  <si>
    <t>Полный</t>
  </si>
  <si>
    <t>Р</t>
  </si>
  <si>
    <t>П</t>
  </si>
  <si>
    <t>Свободный</t>
  </si>
  <si>
    <t>MS Excel</t>
  </si>
  <si>
    <t>SAP</t>
  </si>
  <si>
    <t>1C</t>
  </si>
  <si>
    <t>Программы (альтернативы)</t>
  </si>
  <si>
    <t>Критерии оценки</t>
  </si>
  <si>
    <t>Стоимость</t>
  </si>
  <si>
    <t>Функциональность</t>
  </si>
  <si>
    <t>Простота</t>
  </si>
  <si>
    <t>Ср. геом.</t>
  </si>
  <si>
    <t>Важность</t>
  </si>
  <si>
    <t>λ</t>
  </si>
  <si>
    <t>CC (n=3)</t>
  </si>
  <si>
    <t>ОС = КС / СС</t>
  </si>
  <si>
    <r>
      <t>ИС = (</t>
    </r>
    <r>
      <rPr>
        <sz val="11"/>
        <color theme="1"/>
        <rFont val="Calibri"/>
        <family val="2"/>
      </rPr>
      <t>λ</t>
    </r>
    <r>
      <rPr>
        <sz val="11"/>
        <color theme="1"/>
        <rFont val="Calibri"/>
        <family val="2"/>
        <charset val="204"/>
      </rPr>
      <t>-n)/(n-1)</t>
    </r>
  </si>
  <si>
    <t>&lt;10%</t>
  </si>
  <si>
    <t>&lt;20%</t>
  </si>
  <si>
    <t>Предпочт.</t>
  </si>
  <si>
    <t>Интегральна оценка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</si>
</sst>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3" xfId="0" applyFill="1" applyBorder="1" applyAlignment="1"/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Continuous"/>
    </xf>
    <xf numFmtId="0" fontId="0" fillId="2" borderId="0" xfId="0" applyFill="1" applyBorder="1" applyAlignment="1"/>
    <xf numFmtId="0" fontId="0" fillId="2" borderId="3" xfId="0" applyFill="1" applyBorder="1" applyAlignment="1"/>
    <xf numFmtId="49" fontId="0" fillId="0" borderId="0" xfId="0" applyNumberFormat="1"/>
    <xf numFmtId="0" fontId="0" fillId="0" borderId="2" xfId="0" applyFill="1" applyBorder="1"/>
    <xf numFmtId="9" fontId="0" fillId="0" borderId="0" xfId="1" applyFont="1"/>
    <xf numFmtId="168" fontId="0" fillId="0" borderId="0" xfId="1" applyNumberFormat="1" applyFont="1"/>
    <xf numFmtId="9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4" fillId="0" borderId="1" xfId="0" applyFont="1" applyBorder="1"/>
    <xf numFmtId="49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3" borderId="1" xfId="0" applyFill="1" applyBorder="1"/>
    <xf numFmtId="0" fontId="0" fillId="3" borderId="2" xfId="0" applyFill="1" applyBorder="1"/>
    <xf numFmtId="0" fontId="4" fillId="0" borderId="0" xfId="0" applyFont="1"/>
    <xf numFmtId="0" fontId="5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'1'!$H$1</c:f>
              <c:strCache>
                <c:ptCount val="1"/>
                <c:pt idx="0">
                  <c:v>Год (Х)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'1'!$H$2:$H$16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xVal>
          <c:yVal>
            <c:numRef>
              <c:f>'1'!$G$2:$G$16</c:f>
              <c:numCache>
                <c:formatCode>General</c:formatCode>
                <c:ptCount val="15"/>
                <c:pt idx="0">
                  <c:v>59.825389989999998</c:v>
                </c:pt>
                <c:pt idx="1">
                  <c:v>62.116927529999998</c:v>
                </c:pt>
                <c:pt idx="2">
                  <c:v>65.359757309999992</c:v>
                </c:pt>
                <c:pt idx="3">
                  <c:v>62.114472249999999</c:v>
                </c:pt>
                <c:pt idx="4">
                  <c:v>60.399932779999993</c:v>
                </c:pt>
                <c:pt idx="5">
                  <c:v>69.107376959999996</c:v>
                </c:pt>
                <c:pt idx="6">
                  <c:v>72.212768990000001</c:v>
                </c:pt>
                <c:pt idx="7">
                  <c:v>74.636518899999999</c:v>
                </c:pt>
                <c:pt idx="8">
                  <c:v>77.780734069999994</c:v>
                </c:pt>
                <c:pt idx="9">
                  <c:v>80.743686940000003</c:v>
                </c:pt>
                <c:pt idx="10">
                  <c:v>84.606783489999998</c:v>
                </c:pt>
                <c:pt idx="11">
                  <c:v>89.119741730000001</c:v>
                </c:pt>
                <c:pt idx="12">
                  <c:v>91.20716130000001</c:v>
                </c:pt>
                <c:pt idx="13">
                  <c:v>91.232899849999995</c:v>
                </c:pt>
                <c:pt idx="14">
                  <c:v>86.892328999999989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7552"/>
        <c:axId val="82966016"/>
      </c:scatterChart>
      <c:valAx>
        <c:axId val="82967552"/>
        <c:scaling>
          <c:orientation val="minMax"/>
          <c:max val="2019"/>
          <c:min val="200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uk-UA"/>
                  <a:t>Год</a:t>
                </a:r>
              </a:p>
            </c:rich>
          </c:tx>
          <c:layout>
            <c:manualLayout>
              <c:xMode val="edge"/>
              <c:yMode val="edge"/>
              <c:x val="0.54427887139107611"/>
              <c:y val="0.901828521434820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uk-UA"/>
          </a:p>
        </c:txPr>
        <c:crossAx val="82966016"/>
        <c:crosses val="autoZero"/>
        <c:crossBetween val="midCat"/>
        <c:majorUnit val="1"/>
      </c:valAx>
      <c:valAx>
        <c:axId val="82966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uk-UA"/>
                  <a:t>Объем продаж автомобилей, млн. шт.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2967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0</xdr:row>
      <xdr:rowOff>176212</xdr:rowOff>
    </xdr:from>
    <xdr:to>
      <xdr:col>17</xdr:col>
      <xdr:colOff>0</xdr:colOff>
      <xdr:row>15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236086</xdr:colOff>
      <xdr:row>0</xdr:row>
      <xdr:rowOff>161925</xdr:rowOff>
    </xdr:from>
    <xdr:to>
      <xdr:col>19</xdr:col>
      <xdr:colOff>142876</xdr:colOff>
      <xdr:row>7</xdr:row>
      <xdr:rowOff>76200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244" t="18102" r="866" b="30851"/>
        <a:stretch/>
      </xdr:blipFill>
      <xdr:spPr>
        <a:xfrm>
          <a:off x="8379961" y="161925"/>
          <a:ext cx="4173990" cy="2000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B3" sqref="B3"/>
    </sheetView>
  </sheetViews>
  <sheetFormatPr defaultRowHeight="15" x14ac:dyDescent="0.25"/>
  <sheetData>
    <row r="1" spans="1:3" x14ac:dyDescent="0.25">
      <c r="A1" s="6"/>
      <c r="B1" s="6" t="s">
        <v>10</v>
      </c>
      <c r="C1" s="6" t="s">
        <v>11</v>
      </c>
    </row>
    <row r="2" spans="1:3" x14ac:dyDescent="0.25">
      <c r="A2" s="4" t="s">
        <v>10</v>
      </c>
      <c r="B2" s="4">
        <v>1</v>
      </c>
      <c r="C2" s="4"/>
    </row>
    <row r="3" spans="1:3" ht="15.75" thickBot="1" x14ac:dyDescent="0.3">
      <c r="A3" s="5" t="s">
        <v>11</v>
      </c>
      <c r="B3" s="5">
        <v>0.96098759572216752</v>
      </c>
      <c r="C3" s="5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B17" sqref="B17:B18"/>
    </sheetView>
  </sheetViews>
  <sheetFormatPr defaultRowHeight="15" x14ac:dyDescent="0.25"/>
  <cols>
    <col min="1" max="1" width="32.140625" customWidth="1"/>
    <col min="2" max="2" width="24" customWidth="1"/>
    <col min="6" max="6" width="25.42578125" customWidth="1"/>
  </cols>
  <sheetData>
    <row r="1" spans="1:9" x14ac:dyDescent="0.25">
      <c r="A1" t="s">
        <v>12</v>
      </c>
    </row>
    <row r="2" spans="1:9" ht="15.75" thickBot="1" x14ac:dyDescent="0.3"/>
    <row r="3" spans="1:9" x14ac:dyDescent="0.25">
      <c r="A3" s="7" t="s">
        <v>13</v>
      </c>
      <c r="B3" s="7"/>
    </row>
    <row r="4" spans="1:9" x14ac:dyDescent="0.25">
      <c r="A4" s="4" t="s">
        <v>14</v>
      </c>
      <c r="B4" s="4">
        <v>0.96098759572216763</v>
      </c>
    </row>
    <row r="5" spans="1:9" x14ac:dyDescent="0.25">
      <c r="A5" s="4" t="s">
        <v>15</v>
      </c>
      <c r="B5" s="8">
        <v>0.92349715913187225</v>
      </c>
    </row>
    <row r="6" spans="1:9" x14ac:dyDescent="0.25">
      <c r="A6" s="4" t="s">
        <v>16</v>
      </c>
      <c r="B6" s="4">
        <v>0.91761232521893932</v>
      </c>
    </row>
    <row r="7" spans="1:9" x14ac:dyDescent="0.25">
      <c r="A7" s="4" t="s">
        <v>17</v>
      </c>
      <c r="B7" s="8">
        <v>3.3531558849771499</v>
      </c>
    </row>
    <row r="8" spans="1:9" ht="15.75" thickBot="1" x14ac:dyDescent="0.3">
      <c r="A8" s="5" t="s">
        <v>18</v>
      </c>
      <c r="B8" s="5">
        <v>15</v>
      </c>
    </row>
    <row r="10" spans="1:9" ht="15.75" thickBot="1" x14ac:dyDescent="0.3">
      <c r="A10" t="s">
        <v>19</v>
      </c>
    </row>
    <row r="11" spans="1:9" x14ac:dyDescent="0.25">
      <c r="A11" s="6"/>
      <c r="B11" s="6" t="s">
        <v>23</v>
      </c>
      <c r="C11" s="6" t="s">
        <v>24</v>
      </c>
      <c r="D11" s="6" t="s">
        <v>25</v>
      </c>
      <c r="E11" s="6" t="s">
        <v>26</v>
      </c>
      <c r="F11" s="6" t="s">
        <v>27</v>
      </c>
    </row>
    <row r="12" spans="1:9" x14ac:dyDescent="0.25">
      <c r="A12" s="4" t="s">
        <v>20</v>
      </c>
      <c r="B12" s="4">
        <v>1</v>
      </c>
      <c r="C12" s="4">
        <v>1764.4479079762759</v>
      </c>
      <c r="D12" s="4">
        <v>1764.4479079762759</v>
      </c>
      <c r="E12" s="4">
        <v>156.92833014409018</v>
      </c>
      <c r="F12" s="8">
        <v>1.2457775753724589E-8</v>
      </c>
    </row>
    <row r="13" spans="1:9" x14ac:dyDescent="0.25">
      <c r="A13" s="4" t="s">
        <v>21</v>
      </c>
      <c r="B13" s="4">
        <v>13</v>
      </c>
      <c r="C13" s="4">
        <v>146.1675070564396</v>
      </c>
      <c r="D13" s="4">
        <v>11.243654388956893</v>
      </c>
      <c r="E13" s="4"/>
      <c r="F13" s="4"/>
    </row>
    <row r="14" spans="1:9" ht="15.75" thickBot="1" x14ac:dyDescent="0.3">
      <c r="A14" s="5" t="s">
        <v>22</v>
      </c>
      <c r="B14" s="5">
        <v>14</v>
      </c>
      <c r="C14" s="5">
        <v>1910.6154150327156</v>
      </c>
      <c r="D14" s="5"/>
      <c r="E14" s="5"/>
      <c r="F14" s="5"/>
    </row>
    <row r="15" spans="1:9" ht="15.75" thickBot="1" x14ac:dyDescent="0.3"/>
    <row r="16" spans="1:9" x14ac:dyDescent="0.25">
      <c r="A16" s="6"/>
      <c r="B16" s="6" t="s">
        <v>28</v>
      </c>
      <c r="C16" s="6" t="s">
        <v>17</v>
      </c>
      <c r="D16" s="6" t="s">
        <v>29</v>
      </c>
      <c r="E16" s="6" t="s">
        <v>30</v>
      </c>
      <c r="F16" s="6" t="s">
        <v>31</v>
      </c>
      <c r="G16" s="6" t="s">
        <v>32</v>
      </c>
      <c r="H16" s="6" t="s">
        <v>33</v>
      </c>
      <c r="I16" s="6" t="s">
        <v>34</v>
      </c>
    </row>
    <row r="17" spans="1:9" x14ac:dyDescent="0.25">
      <c r="A17" s="4" t="s">
        <v>35</v>
      </c>
      <c r="B17" s="8">
        <v>-4975.5639289905221</v>
      </c>
      <c r="C17" s="4">
        <v>403.18438680742457</v>
      </c>
      <c r="D17" s="4">
        <v>-12.340666185982622</v>
      </c>
      <c r="E17" s="4">
        <v>1.4926718313849534E-8</v>
      </c>
      <c r="F17" s="4">
        <v>-5846.5908410244529</v>
      </c>
      <c r="G17" s="4">
        <v>-4104.5370169565913</v>
      </c>
      <c r="H17" s="4">
        <v>-5846.5908410244529</v>
      </c>
      <c r="I17" s="4">
        <v>-4104.5370169565913</v>
      </c>
    </row>
    <row r="18" spans="1:9" ht="15.75" thickBot="1" x14ac:dyDescent="0.3">
      <c r="A18" s="5" t="s">
        <v>36</v>
      </c>
      <c r="B18" s="9">
        <v>2.5102987215357135</v>
      </c>
      <c r="C18" s="5">
        <v>0.20038939226413383</v>
      </c>
      <c r="D18" s="5">
        <v>12.527103821078921</v>
      </c>
      <c r="E18" s="5">
        <v>1.2457775753724634E-8</v>
      </c>
      <c r="F18" s="5">
        <v>2.077383759400651</v>
      </c>
      <c r="G18" s="5">
        <v>2.9432136836707761</v>
      </c>
      <c r="H18" s="5">
        <v>2.077383759400651</v>
      </c>
      <c r="I18" s="5">
        <v>2.9432136836707761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I8" sqref="I8"/>
    </sheetView>
  </sheetViews>
  <sheetFormatPr defaultRowHeight="15" x14ac:dyDescent="0.25"/>
  <cols>
    <col min="1" max="1" width="14.28515625" customWidth="1"/>
    <col min="2" max="2" width="16.85546875" customWidth="1"/>
    <col min="5" max="5" width="15.28515625" customWidth="1"/>
    <col min="6" max="6" width="16.7109375" customWidth="1"/>
    <col min="7" max="7" width="20.28515625" customWidth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7</v>
      </c>
      <c r="H1" s="1" t="s">
        <v>8</v>
      </c>
    </row>
    <row r="2" spans="1:9" x14ac:dyDescent="0.25">
      <c r="A2" s="2">
        <v>4.9409179999999999</v>
      </c>
      <c r="B2" s="2">
        <v>16.959717999999999</v>
      </c>
      <c r="C2" s="2">
        <v>1.1068629999999999</v>
      </c>
      <c r="D2" s="2">
        <v>17.163429189999999</v>
      </c>
      <c r="E2" s="2">
        <v>4.2497670000000003</v>
      </c>
      <c r="F2" s="2">
        <v>15.4046948</v>
      </c>
      <c r="G2" s="1">
        <f>SUM(A2:F2)</f>
        <v>59.825389989999998</v>
      </c>
      <c r="H2" s="2">
        <v>2005</v>
      </c>
      <c r="I2" s="3">
        <v>3</v>
      </c>
    </row>
    <row r="3" spans="1:9" x14ac:dyDescent="0.25">
      <c r="A3" s="2">
        <v>6.2590260000000004</v>
      </c>
      <c r="B3" s="2">
        <v>16.526294</v>
      </c>
      <c r="C3" s="2">
        <v>1.3113729999999999</v>
      </c>
      <c r="D3" s="2">
        <v>17.47347332</v>
      </c>
      <c r="E3" s="2">
        <v>4.0050030000000003</v>
      </c>
      <c r="F3" s="2">
        <v>16.541758210000001</v>
      </c>
      <c r="G3" s="1">
        <f t="shared" ref="G3:G16" si="0">SUM(A3:F3)</f>
        <v>62.116927529999998</v>
      </c>
      <c r="H3" s="2">
        <v>2006</v>
      </c>
    </row>
    <row r="4" spans="1:9" x14ac:dyDescent="0.25">
      <c r="A4" s="2">
        <v>7.5893750000000004</v>
      </c>
      <c r="B4" s="2">
        <v>16.104483999999999</v>
      </c>
      <c r="C4" s="2">
        <v>1.3880840000000001</v>
      </c>
      <c r="D4" s="2">
        <v>17.77773564</v>
      </c>
      <c r="E4" s="2">
        <v>3.7188919999999999</v>
      </c>
      <c r="F4" s="2">
        <v>18.78118667</v>
      </c>
      <c r="G4" s="1">
        <f t="shared" si="0"/>
        <v>65.359757309999992</v>
      </c>
      <c r="H4" s="2">
        <v>2007</v>
      </c>
    </row>
    <row r="5" spans="1:9" x14ac:dyDescent="0.25">
      <c r="A5" s="2">
        <v>8.151446</v>
      </c>
      <c r="B5" s="2">
        <v>13.203105000000001</v>
      </c>
      <c r="C5" s="2">
        <v>1.4087209999999999</v>
      </c>
      <c r="D5" s="2">
        <v>16.37074097</v>
      </c>
      <c r="E5" s="2">
        <v>3.4932020000000001</v>
      </c>
      <c r="F5" s="2">
        <v>19.487257280000001</v>
      </c>
      <c r="G5" s="1">
        <f t="shared" si="0"/>
        <v>62.114472249999999</v>
      </c>
      <c r="H5" s="2">
        <v>2008</v>
      </c>
    </row>
    <row r="6" spans="1:9" x14ac:dyDescent="0.25">
      <c r="A6" s="2">
        <v>12.458876999999999</v>
      </c>
      <c r="B6" s="2">
        <v>10.408939</v>
      </c>
      <c r="C6" s="2">
        <v>1.677511</v>
      </c>
      <c r="D6" s="2">
        <v>15.306546920000001</v>
      </c>
      <c r="E6" s="2">
        <v>3.2255470000000002</v>
      </c>
      <c r="F6" s="2">
        <v>17.322511859999999</v>
      </c>
      <c r="G6" s="1">
        <f t="shared" si="0"/>
        <v>60.399932779999993</v>
      </c>
      <c r="H6" s="2">
        <v>2009</v>
      </c>
    </row>
    <row r="7" spans="1:9" x14ac:dyDescent="0.25">
      <c r="A7" s="2">
        <v>16.497831999999999</v>
      </c>
      <c r="B7" s="2">
        <v>11.559139999999999</v>
      </c>
      <c r="C7" s="2">
        <v>2.2115010000000002</v>
      </c>
      <c r="D7" s="2">
        <v>14.6986829</v>
      </c>
      <c r="E7" s="2">
        <v>3.5569929999999998</v>
      </c>
      <c r="F7" s="2">
        <v>20.58322806</v>
      </c>
      <c r="G7" s="1">
        <f t="shared" si="0"/>
        <v>69.107376959999996</v>
      </c>
      <c r="H7" s="2">
        <v>2010</v>
      </c>
    </row>
    <row r="8" spans="1:9" x14ac:dyDescent="0.25">
      <c r="A8" s="2">
        <v>16.998332999999999</v>
      </c>
      <c r="B8" s="2">
        <v>12.734443000000001</v>
      </c>
      <c r="C8" s="2">
        <v>2.3752239999999998</v>
      </c>
      <c r="D8" s="2">
        <v>14.64912245</v>
      </c>
      <c r="E8" s="2">
        <v>2.9535260000000001</v>
      </c>
      <c r="F8" s="2">
        <v>22.50212054</v>
      </c>
      <c r="G8" s="1">
        <f t="shared" si="0"/>
        <v>72.212768990000001</v>
      </c>
      <c r="H8" s="2">
        <v>2011</v>
      </c>
    </row>
    <row r="9" spans="1:9" x14ac:dyDescent="0.25">
      <c r="A9" s="2">
        <v>17.762557000000001</v>
      </c>
      <c r="B9" s="2">
        <v>14.494294999999999</v>
      </c>
      <c r="C9" s="2">
        <v>3.2816369999999999</v>
      </c>
      <c r="D9" s="2">
        <v>13.373661309999999</v>
      </c>
      <c r="E9" s="2">
        <v>2.060791</v>
      </c>
      <c r="F9" s="2">
        <v>23.663577589999999</v>
      </c>
      <c r="G9" s="1">
        <f t="shared" si="0"/>
        <v>74.636518899999999</v>
      </c>
      <c r="H9" s="2">
        <v>2012</v>
      </c>
    </row>
    <row r="10" spans="1:9" x14ac:dyDescent="0.25">
      <c r="A10" s="2">
        <v>20.270478000000001</v>
      </c>
      <c r="B10" s="2">
        <v>15.600521000000001</v>
      </c>
      <c r="C10" s="2">
        <v>3.023584</v>
      </c>
      <c r="D10" s="2">
        <v>13.177625109999999</v>
      </c>
      <c r="E10" s="2">
        <v>2.0581109999999998</v>
      </c>
      <c r="F10" s="2">
        <v>23.650414959999999</v>
      </c>
      <c r="G10" s="1">
        <f t="shared" si="0"/>
        <v>77.780734069999994</v>
      </c>
      <c r="H10" s="2">
        <v>2013</v>
      </c>
    </row>
    <row r="11" spans="1:9" x14ac:dyDescent="0.25">
      <c r="A11" s="2">
        <v>21.792541</v>
      </c>
      <c r="B11" s="2">
        <v>16.523862000000001</v>
      </c>
      <c r="C11" s="2">
        <v>2.9613119999999999</v>
      </c>
      <c r="D11" s="2">
        <v>14.012393940000001</v>
      </c>
      <c r="E11" s="2">
        <v>2.124088</v>
      </c>
      <c r="F11" s="2">
        <v>23.32949</v>
      </c>
      <c r="G11" s="1">
        <f t="shared" si="0"/>
        <v>80.743686940000003</v>
      </c>
      <c r="H11" s="2">
        <v>2014</v>
      </c>
    </row>
    <row r="12" spans="1:9" x14ac:dyDescent="0.25">
      <c r="A12" s="2">
        <v>23.125912</v>
      </c>
      <c r="B12" s="2">
        <v>17.475104999999999</v>
      </c>
      <c r="C12" s="2">
        <v>3.1433499999999999</v>
      </c>
      <c r="D12" s="2">
        <v>15.387732489999999</v>
      </c>
      <c r="E12" s="2">
        <v>3.3492169999999999</v>
      </c>
      <c r="F12" s="2">
        <v>22.125467</v>
      </c>
      <c r="G12" s="1">
        <f t="shared" si="0"/>
        <v>84.606783489999998</v>
      </c>
      <c r="H12" s="2">
        <v>2015</v>
      </c>
    </row>
    <row r="13" spans="1:9" x14ac:dyDescent="0.25">
      <c r="A13" s="2">
        <v>26.365437</v>
      </c>
      <c r="B13" s="2">
        <v>17.569842000000001</v>
      </c>
      <c r="C13" s="2">
        <v>3.370638</v>
      </c>
      <c r="D13" s="2">
        <v>16.46090873</v>
      </c>
      <c r="E13" s="2">
        <v>3.436544</v>
      </c>
      <c r="F13" s="2">
        <v>21.916371999999999</v>
      </c>
      <c r="G13" s="1">
        <f t="shared" si="0"/>
        <v>89.119741730000001</v>
      </c>
      <c r="H13" s="2">
        <v>2016</v>
      </c>
    </row>
    <row r="14" spans="1:9" x14ac:dyDescent="0.25">
      <c r="A14" s="2">
        <v>26.960319999999999</v>
      </c>
      <c r="B14" s="2">
        <v>17.240552999999998</v>
      </c>
      <c r="C14" s="2">
        <v>3.6975530000000001</v>
      </c>
      <c r="D14" s="2">
        <v>16.8035873</v>
      </c>
      <c r="E14" s="2">
        <v>3.598821</v>
      </c>
      <c r="F14" s="2">
        <v>22.906327000000001</v>
      </c>
      <c r="G14" s="1">
        <f t="shared" si="0"/>
        <v>91.20716130000001</v>
      </c>
      <c r="H14" s="2">
        <v>2017</v>
      </c>
    </row>
    <row r="15" spans="1:9" x14ac:dyDescent="0.25">
      <c r="A15" s="2">
        <v>26.703970999999999</v>
      </c>
      <c r="B15" s="2">
        <v>17.334785</v>
      </c>
      <c r="C15" s="2">
        <v>4.0043550000000003</v>
      </c>
      <c r="D15" s="2">
        <v>16.92452003</v>
      </c>
      <c r="E15" s="2">
        <v>3.5823930000000002</v>
      </c>
      <c r="F15" s="2">
        <v>22.68287582</v>
      </c>
      <c r="G15" s="1">
        <f t="shared" si="0"/>
        <v>91.232899849999995</v>
      </c>
      <c r="H15" s="2">
        <v>2018</v>
      </c>
    </row>
    <row r="16" spans="1:9" x14ac:dyDescent="0.25">
      <c r="A16" s="2">
        <v>24.534192999999998</v>
      </c>
      <c r="B16" s="2">
        <v>17.048954999999999</v>
      </c>
      <c r="C16" s="2">
        <v>3.5282040000000001</v>
      </c>
      <c r="D16" s="2">
        <v>17.194755000000001</v>
      </c>
      <c r="E16" s="2">
        <v>3.5200339999999999</v>
      </c>
      <c r="F16" s="2">
        <v>21.066188</v>
      </c>
      <c r="G16" s="1">
        <f t="shared" si="0"/>
        <v>86.892328999999989</v>
      </c>
      <c r="H16" s="2">
        <v>2019</v>
      </c>
    </row>
    <row r="17" spans="1:10" x14ac:dyDescent="0.25">
      <c r="G17" s="11">
        <f>AVERAGE(G2:G16)</f>
        <v>75.157098739333335</v>
      </c>
      <c r="J17" t="s">
        <v>9</v>
      </c>
    </row>
    <row r="18" spans="1:10" x14ac:dyDescent="0.25">
      <c r="A18">
        <v>4</v>
      </c>
      <c r="B18">
        <f>CORREL(G2:G16,H2:H16)</f>
        <v>0.96098759572216752</v>
      </c>
      <c r="D18">
        <v>-1</v>
      </c>
      <c r="E18">
        <v>1</v>
      </c>
    </row>
    <row r="20" spans="1:10" x14ac:dyDescent="0.25">
      <c r="A20">
        <v>5</v>
      </c>
      <c r="B20" t="s">
        <v>37</v>
      </c>
    </row>
    <row r="22" spans="1:10" x14ac:dyDescent="0.25">
      <c r="A22">
        <v>6</v>
      </c>
      <c r="B22" s="10" t="s">
        <v>38</v>
      </c>
      <c r="C22" t="s">
        <v>39</v>
      </c>
      <c r="F22">
        <f>'5-Регр'!B5</f>
        <v>0.92349715913187225</v>
      </c>
      <c r="G22" t="s">
        <v>40</v>
      </c>
    </row>
    <row r="23" spans="1:10" x14ac:dyDescent="0.25">
      <c r="B23" s="10" t="s">
        <v>41</v>
      </c>
      <c r="C23" t="s">
        <v>42</v>
      </c>
      <c r="F23">
        <f>'5-Регр'!F12</f>
        <v>1.2457775753724589E-8</v>
      </c>
      <c r="G23">
        <v>0.05</v>
      </c>
      <c r="H23" t="s">
        <v>40</v>
      </c>
    </row>
    <row r="24" spans="1:10" x14ac:dyDescent="0.25">
      <c r="B24" s="10" t="s">
        <v>43</v>
      </c>
      <c r="C24" t="s">
        <v>44</v>
      </c>
      <c r="F24" s="13">
        <f>'5-Регр'!B7/'1'!G17</f>
        <v>4.4615291718575638E-2</v>
      </c>
      <c r="G24" s="14">
        <v>0.1</v>
      </c>
      <c r="H24" t="s">
        <v>40</v>
      </c>
    </row>
    <row r="25" spans="1:10" x14ac:dyDescent="0.25">
      <c r="G25" t="s">
        <v>45</v>
      </c>
    </row>
    <row r="26" spans="1:10" x14ac:dyDescent="0.25">
      <c r="G26" s="14">
        <v>0.2</v>
      </c>
    </row>
    <row r="27" spans="1:10" x14ac:dyDescent="0.25">
      <c r="A27">
        <v>7</v>
      </c>
      <c r="B27">
        <v>2020</v>
      </c>
      <c r="C27">
        <f>'5-Регр'!$B$17+'5-Регр'!$B$18*'1'!B27</f>
        <v>95.239488511619129</v>
      </c>
    </row>
    <row r="28" spans="1:10" x14ac:dyDescent="0.25">
      <c r="B28">
        <v>2021</v>
      </c>
      <c r="C28">
        <f>'5-Регр'!$B$17+'5-Регр'!$B$18*'1'!B28</f>
        <v>97.749787233155075</v>
      </c>
    </row>
    <row r="29" spans="1:10" x14ac:dyDescent="0.25">
      <c r="B29">
        <v>2022</v>
      </c>
      <c r="C29">
        <f>'5-Регр'!$B$17+'5-Регр'!$B$18*'1'!B29</f>
        <v>100.26008595469102</v>
      </c>
    </row>
    <row r="30" spans="1:10" x14ac:dyDescent="0.25">
      <c r="B30">
        <v>2023</v>
      </c>
      <c r="C30">
        <f>'5-Регр'!$B$17+'5-Регр'!$B$18*'1'!B30</f>
        <v>102.77038467622606</v>
      </c>
    </row>
    <row r="31" spans="1:10" x14ac:dyDescent="0.25">
      <c r="B31">
        <v>2024</v>
      </c>
      <c r="C31">
        <f>'5-Регр'!$B$17+'5-Регр'!$B$18*'1'!B31</f>
        <v>105.280683397762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K8" sqref="K8"/>
    </sheetView>
  </sheetViews>
  <sheetFormatPr defaultRowHeight="15" x14ac:dyDescent="0.25"/>
  <cols>
    <col min="2" max="2" width="6.42578125" customWidth="1"/>
    <col min="3" max="3" width="23" customWidth="1"/>
    <col min="4" max="4" width="5.28515625" customWidth="1"/>
    <col min="5" max="5" width="3.5703125" customWidth="1"/>
    <col min="6" max="6" width="15.140625" customWidth="1"/>
    <col min="7" max="7" width="13.85546875" customWidth="1"/>
  </cols>
  <sheetData>
    <row r="1" spans="1:11" s="17" customFormat="1" x14ac:dyDescent="0.25">
      <c r="A1" s="16" t="s">
        <v>68</v>
      </c>
      <c r="B1" s="16" t="s">
        <v>51</v>
      </c>
      <c r="C1" s="16" t="s">
        <v>50</v>
      </c>
      <c r="D1" s="16" t="s">
        <v>56</v>
      </c>
      <c r="E1" s="16"/>
      <c r="F1" s="16"/>
      <c r="G1" s="16"/>
      <c r="H1" s="16" t="s">
        <v>61</v>
      </c>
    </row>
    <row r="2" spans="1:11" s="17" customFormat="1" ht="30" x14ac:dyDescent="0.25">
      <c r="A2" s="16"/>
      <c r="B2" s="16"/>
      <c r="C2" s="16"/>
      <c r="D2" s="18" t="s">
        <v>57</v>
      </c>
      <c r="E2" s="18" t="s">
        <v>58</v>
      </c>
      <c r="F2" s="18" t="s">
        <v>59</v>
      </c>
      <c r="G2" s="22" t="s">
        <v>60</v>
      </c>
      <c r="H2" s="16"/>
      <c r="I2" s="17" t="s">
        <v>57</v>
      </c>
    </row>
    <row r="3" spans="1:11" ht="44.25" customHeight="1" x14ac:dyDescent="0.25">
      <c r="A3" s="19" t="s">
        <v>62</v>
      </c>
      <c r="B3" s="1" t="s">
        <v>55</v>
      </c>
      <c r="C3" s="18" t="s">
        <v>49</v>
      </c>
      <c r="D3" s="27">
        <v>1</v>
      </c>
      <c r="E3" s="27">
        <v>5</v>
      </c>
      <c r="F3" s="27">
        <v>15</v>
      </c>
      <c r="G3" s="23">
        <f>ROUND((D3+4*E3+F3)/6,0)</f>
        <v>6</v>
      </c>
      <c r="H3" s="1">
        <v>1</v>
      </c>
    </row>
    <row r="4" spans="1:11" x14ac:dyDescent="0.25">
      <c r="A4" s="19" t="s">
        <v>64</v>
      </c>
      <c r="B4" s="1" t="s">
        <v>54</v>
      </c>
      <c r="C4" s="18" t="s">
        <v>48</v>
      </c>
      <c r="D4" s="27">
        <v>1</v>
      </c>
      <c r="E4" s="27">
        <v>7</v>
      </c>
      <c r="F4" s="27">
        <v>30</v>
      </c>
      <c r="G4" s="23">
        <f>ROUND((D4+4*E4+F4)/6,0)</f>
        <v>10</v>
      </c>
      <c r="H4" s="1">
        <v>1</v>
      </c>
      <c r="I4" s="28">
        <f>G4*H4</f>
        <v>10</v>
      </c>
      <c r="J4" s="28">
        <v>0.5</v>
      </c>
      <c r="K4">
        <f>I4/J4</f>
        <v>20</v>
      </c>
    </row>
    <row r="5" spans="1:11" x14ac:dyDescent="0.25">
      <c r="A5" s="19" t="s">
        <v>63</v>
      </c>
      <c r="B5" s="1" t="s">
        <v>53</v>
      </c>
      <c r="C5" s="18" t="s">
        <v>47</v>
      </c>
      <c r="D5" s="27">
        <v>10</v>
      </c>
      <c r="E5" s="27">
        <v>30</v>
      </c>
      <c r="F5" s="27">
        <v>60</v>
      </c>
      <c r="G5" s="23">
        <f>ROUND((D5+4*E5+F5)/6,0)</f>
        <v>32</v>
      </c>
      <c r="H5" s="1">
        <v>1</v>
      </c>
      <c r="I5" s="28">
        <f>G5*H5</f>
        <v>32</v>
      </c>
      <c r="J5" s="28">
        <v>1.5</v>
      </c>
      <c r="K5">
        <f>I5/J5</f>
        <v>21.333333333333332</v>
      </c>
    </row>
    <row r="6" spans="1:11" ht="30" x14ac:dyDescent="0.25">
      <c r="A6" s="19" t="s">
        <v>66</v>
      </c>
      <c r="B6" s="20" t="s">
        <v>67</v>
      </c>
      <c r="C6" s="20" t="s">
        <v>67</v>
      </c>
      <c r="D6" s="27">
        <v>0</v>
      </c>
      <c r="E6" s="27">
        <v>0</v>
      </c>
      <c r="F6" s="27">
        <v>0</v>
      </c>
      <c r="G6" s="23">
        <f>ROUND((D6+4*E6+F6)/6,0)</f>
        <v>0</v>
      </c>
      <c r="H6" s="20">
        <v>0</v>
      </c>
    </row>
    <row r="7" spans="1:11" x14ac:dyDescent="0.25">
      <c r="A7" s="19" t="s">
        <v>65</v>
      </c>
      <c r="B7" s="1" t="s">
        <v>52</v>
      </c>
      <c r="C7" s="18" t="s">
        <v>46</v>
      </c>
      <c r="D7" s="27">
        <v>2</v>
      </c>
      <c r="E7" s="27">
        <v>10</v>
      </c>
      <c r="F7" s="27">
        <v>20</v>
      </c>
      <c r="G7" s="23">
        <f>ROUND((D7+4*E7+F7)/6,0)</f>
        <v>10</v>
      </c>
      <c r="H7" s="1">
        <v>2</v>
      </c>
    </row>
    <row r="9" spans="1:11" x14ac:dyDescent="0.25">
      <c r="A9" s="21" t="s">
        <v>69</v>
      </c>
      <c r="B9" s="15" t="s">
        <v>70</v>
      </c>
      <c r="C9" s="15"/>
      <c r="D9" s="15"/>
      <c r="E9" s="15"/>
      <c r="F9" s="15"/>
      <c r="G9" s="1"/>
      <c r="H9" s="1"/>
    </row>
    <row r="10" spans="1:11" x14ac:dyDescent="0.25">
      <c r="A10" s="21"/>
      <c r="B10" s="1">
        <v>0</v>
      </c>
      <c r="C10" s="1">
        <v>1</v>
      </c>
      <c r="D10" s="1">
        <v>2</v>
      </c>
      <c r="E10" s="1">
        <v>3</v>
      </c>
      <c r="F10" s="1">
        <v>4</v>
      </c>
      <c r="G10" s="1" t="s">
        <v>73</v>
      </c>
      <c r="H10" s="1" t="s">
        <v>74</v>
      </c>
    </row>
    <row r="11" spans="1:11" x14ac:dyDescent="0.25">
      <c r="A11" s="1">
        <v>0</v>
      </c>
      <c r="B11" s="1"/>
      <c r="C11" s="1">
        <v>6</v>
      </c>
      <c r="D11" s="1"/>
      <c r="E11" s="1"/>
      <c r="F11" s="1"/>
      <c r="G11" s="1">
        <f>H12-C11</f>
        <v>0</v>
      </c>
      <c r="H11" s="1"/>
    </row>
    <row r="12" spans="1:11" x14ac:dyDescent="0.25">
      <c r="A12" s="1">
        <v>1</v>
      </c>
      <c r="B12" s="1"/>
      <c r="C12" s="1"/>
      <c r="D12" s="1">
        <v>10</v>
      </c>
      <c r="E12" s="1">
        <v>32</v>
      </c>
      <c r="F12" s="1"/>
      <c r="G12" s="1">
        <f>G13-10</f>
        <v>28</v>
      </c>
      <c r="H12" s="24">
        <f>G14-E12</f>
        <v>6</v>
      </c>
    </row>
    <row r="13" spans="1:11" x14ac:dyDescent="0.25">
      <c r="A13" s="1">
        <v>2</v>
      </c>
      <c r="B13" s="1"/>
      <c r="C13" s="1"/>
      <c r="D13" s="1"/>
      <c r="E13" s="1">
        <v>0</v>
      </c>
      <c r="F13" s="1"/>
      <c r="G13" s="1">
        <f>38-0</f>
        <v>38</v>
      </c>
      <c r="H13" s="1"/>
    </row>
    <row r="14" spans="1:11" x14ac:dyDescent="0.25">
      <c r="A14" s="1">
        <v>3</v>
      </c>
      <c r="B14" s="1"/>
      <c r="C14" s="1"/>
      <c r="D14" s="1"/>
      <c r="E14" s="1"/>
      <c r="F14" s="1">
        <v>10</v>
      </c>
      <c r="G14" s="1">
        <f>G15-F14</f>
        <v>38</v>
      </c>
      <c r="H14" s="1"/>
    </row>
    <row r="15" spans="1:11" x14ac:dyDescent="0.25">
      <c r="A15" s="1">
        <v>4</v>
      </c>
      <c r="B15" s="1"/>
      <c r="C15" s="1"/>
      <c r="D15" s="1"/>
      <c r="E15" s="1"/>
      <c r="F15" s="1"/>
      <c r="G15" s="1">
        <f>F16</f>
        <v>48</v>
      </c>
      <c r="H15" s="1"/>
    </row>
    <row r="16" spans="1:11" x14ac:dyDescent="0.25">
      <c r="A16" s="1" t="s">
        <v>71</v>
      </c>
      <c r="B16" s="1">
        <v>0</v>
      </c>
      <c r="C16" s="1">
        <f>0+6</f>
        <v>6</v>
      </c>
      <c r="D16" s="1">
        <f>C16+D12</f>
        <v>16</v>
      </c>
      <c r="E16" s="24">
        <f>C16+E12</f>
        <v>38</v>
      </c>
      <c r="F16" s="1">
        <f>E16+F14</f>
        <v>48</v>
      </c>
      <c r="G16" s="1"/>
      <c r="H16" s="1"/>
    </row>
    <row r="17" spans="1:12" x14ac:dyDescent="0.25">
      <c r="A17" s="1" t="s">
        <v>72</v>
      </c>
      <c r="B17" s="1"/>
      <c r="C17" s="1"/>
      <c r="D17" s="1"/>
      <c r="E17" s="1">
        <f>D16+E13</f>
        <v>16</v>
      </c>
      <c r="F17" s="1"/>
      <c r="G17" s="1"/>
      <c r="H17" s="1"/>
    </row>
    <row r="18" spans="1:12" x14ac:dyDescent="0.25">
      <c r="A18" s="1" t="s">
        <v>76</v>
      </c>
      <c r="B18" s="1">
        <f>G11</f>
        <v>0</v>
      </c>
      <c r="C18" s="1">
        <f>H12</f>
        <v>6</v>
      </c>
      <c r="D18" s="1">
        <f>G13</f>
        <v>38</v>
      </c>
      <c r="E18" s="1">
        <f>G14</f>
        <v>38</v>
      </c>
      <c r="F18" s="1">
        <f>G15</f>
        <v>48</v>
      </c>
      <c r="G18" s="1"/>
      <c r="H18" s="1"/>
    </row>
    <row r="19" spans="1:12" x14ac:dyDescent="0.25">
      <c r="A19" s="1" t="s">
        <v>75</v>
      </c>
      <c r="B19" s="1">
        <f>B18-B16</f>
        <v>0</v>
      </c>
      <c r="C19" s="1">
        <f t="shared" ref="C19:D19" si="0">C18-C16</f>
        <v>0</v>
      </c>
      <c r="D19" s="1">
        <f t="shared" si="0"/>
        <v>22</v>
      </c>
      <c r="E19" s="1">
        <f>E18-E16</f>
        <v>0</v>
      </c>
      <c r="F19" s="1">
        <f>F18-F16</f>
        <v>0</v>
      </c>
      <c r="G19" s="1"/>
      <c r="H19" s="1"/>
    </row>
    <row r="21" spans="1:12" s="17" customFormat="1" x14ac:dyDescent="0.25">
      <c r="A21" s="16" t="s">
        <v>68</v>
      </c>
      <c r="B21" s="16" t="s">
        <v>51</v>
      </c>
      <c r="C21" s="16" t="s">
        <v>50</v>
      </c>
      <c r="D21" s="16" t="s">
        <v>77</v>
      </c>
      <c r="E21" s="16"/>
      <c r="F21" s="16" t="s">
        <v>56</v>
      </c>
      <c r="G21" s="16" t="s">
        <v>80</v>
      </c>
      <c r="H21" s="16"/>
      <c r="I21" s="16" t="s">
        <v>81</v>
      </c>
      <c r="J21" s="16"/>
      <c r="K21" s="16"/>
      <c r="L21" s="16"/>
    </row>
    <row r="22" spans="1:12" s="17" customFormat="1" ht="30" x14ac:dyDescent="0.25">
      <c r="A22" s="16"/>
      <c r="B22" s="16"/>
      <c r="C22" s="16"/>
      <c r="D22" s="18" t="s">
        <v>78</v>
      </c>
      <c r="E22" s="18" t="s">
        <v>79</v>
      </c>
      <c r="F22" s="16"/>
      <c r="G22" s="18" t="s">
        <v>78</v>
      </c>
      <c r="H22" s="18" t="s">
        <v>79</v>
      </c>
      <c r="I22" s="18" t="s">
        <v>82</v>
      </c>
      <c r="J22" s="18" t="s">
        <v>83</v>
      </c>
      <c r="K22" s="18" t="s">
        <v>84</v>
      </c>
      <c r="L22" s="18" t="s">
        <v>85</v>
      </c>
    </row>
    <row r="23" spans="1:12" s="17" customFormat="1" ht="30" x14ac:dyDescent="0.25">
      <c r="A23" s="25" t="s">
        <v>62</v>
      </c>
      <c r="B23" s="18" t="s">
        <v>55</v>
      </c>
      <c r="C23" s="18" t="s">
        <v>49</v>
      </c>
      <c r="D23" s="18">
        <v>0</v>
      </c>
      <c r="E23" s="18">
        <v>0</v>
      </c>
      <c r="F23" s="18">
        <f>G3</f>
        <v>6</v>
      </c>
      <c r="G23" s="18">
        <v>6</v>
      </c>
      <c r="H23" s="18">
        <v>6</v>
      </c>
      <c r="I23" s="18">
        <f>H23-D23-F23</f>
        <v>0</v>
      </c>
      <c r="J23" s="18">
        <f>G23-D23-F23</f>
        <v>0</v>
      </c>
      <c r="K23" s="18">
        <f>H23-E23-F23</f>
        <v>0</v>
      </c>
      <c r="L23" s="18">
        <f>G23-E23-F23</f>
        <v>0</v>
      </c>
    </row>
    <row r="24" spans="1:12" s="17" customFormat="1" x14ac:dyDescent="0.25">
      <c r="A24" s="25" t="s">
        <v>64</v>
      </c>
      <c r="B24" s="18" t="s">
        <v>54</v>
      </c>
      <c r="C24" s="18" t="s">
        <v>48</v>
      </c>
      <c r="D24" s="18">
        <v>6</v>
      </c>
      <c r="E24" s="18">
        <v>6</v>
      </c>
      <c r="F24" s="18">
        <f t="shared" ref="F24:F27" si="1">G4</f>
        <v>10</v>
      </c>
      <c r="G24" s="18">
        <v>16</v>
      </c>
      <c r="H24" s="18">
        <v>38</v>
      </c>
      <c r="I24" s="18">
        <f t="shared" ref="I24:I27" si="2">H24-D24-F24</f>
        <v>22</v>
      </c>
      <c r="J24" s="18">
        <f t="shared" ref="J24:J27" si="3">G24-D24-F24</f>
        <v>0</v>
      </c>
      <c r="K24" s="18">
        <f t="shared" ref="K24:K27" si="4">H24-E24-F24</f>
        <v>22</v>
      </c>
      <c r="L24" s="18">
        <f t="shared" ref="L24:L27" si="5">G24-E24-F24</f>
        <v>0</v>
      </c>
    </row>
    <row r="25" spans="1:12" s="17" customFormat="1" x14ac:dyDescent="0.25">
      <c r="A25" s="25" t="s">
        <v>63</v>
      </c>
      <c r="B25" s="18" t="s">
        <v>53</v>
      </c>
      <c r="C25" s="18" t="s">
        <v>47</v>
      </c>
      <c r="D25" s="18">
        <v>6</v>
      </c>
      <c r="E25" s="18">
        <v>6</v>
      </c>
      <c r="F25" s="18">
        <f t="shared" si="1"/>
        <v>32</v>
      </c>
      <c r="G25" s="18">
        <v>38</v>
      </c>
      <c r="H25" s="18">
        <v>38</v>
      </c>
      <c r="I25" s="18">
        <f t="shared" si="2"/>
        <v>0</v>
      </c>
      <c r="J25" s="18">
        <f t="shared" si="3"/>
        <v>0</v>
      </c>
      <c r="K25" s="18">
        <f t="shared" si="4"/>
        <v>0</v>
      </c>
      <c r="L25" s="18">
        <f t="shared" si="5"/>
        <v>0</v>
      </c>
    </row>
    <row r="26" spans="1:12" s="17" customFormat="1" x14ac:dyDescent="0.25">
      <c r="A26" s="25" t="s">
        <v>66</v>
      </c>
      <c r="B26" s="26" t="s">
        <v>67</v>
      </c>
      <c r="C26" s="26" t="s">
        <v>67</v>
      </c>
      <c r="D26" s="18">
        <v>16</v>
      </c>
      <c r="E26" s="18">
        <v>38</v>
      </c>
      <c r="F26" s="18">
        <f t="shared" si="1"/>
        <v>0</v>
      </c>
      <c r="G26" s="18">
        <v>38</v>
      </c>
      <c r="H26" s="18">
        <v>38</v>
      </c>
      <c r="I26" s="18">
        <f t="shared" si="2"/>
        <v>22</v>
      </c>
      <c r="J26" s="18">
        <f t="shared" si="3"/>
        <v>22</v>
      </c>
      <c r="K26" s="18">
        <f t="shared" si="4"/>
        <v>0</v>
      </c>
      <c r="L26" s="18">
        <f t="shared" si="5"/>
        <v>0</v>
      </c>
    </row>
    <row r="27" spans="1:12" s="17" customFormat="1" ht="45" x14ac:dyDescent="0.25">
      <c r="A27" s="25" t="s">
        <v>65</v>
      </c>
      <c r="B27" s="18" t="s">
        <v>52</v>
      </c>
      <c r="C27" s="18" t="s">
        <v>46</v>
      </c>
      <c r="D27" s="18">
        <v>38</v>
      </c>
      <c r="E27" s="18">
        <v>38</v>
      </c>
      <c r="F27" s="18">
        <f t="shared" si="1"/>
        <v>10</v>
      </c>
      <c r="G27" s="18">
        <v>48</v>
      </c>
      <c r="H27" s="18">
        <v>48</v>
      </c>
      <c r="I27" s="18">
        <f t="shared" si="2"/>
        <v>0</v>
      </c>
      <c r="J27" s="18">
        <f t="shared" si="3"/>
        <v>0</v>
      </c>
      <c r="K27" s="18">
        <f t="shared" si="4"/>
        <v>0</v>
      </c>
      <c r="L27" s="18">
        <f t="shared" si="5"/>
        <v>0</v>
      </c>
    </row>
  </sheetData>
  <mergeCells count="14">
    <mergeCell ref="I21:L21"/>
    <mergeCell ref="A21:A22"/>
    <mergeCell ref="B21:B22"/>
    <mergeCell ref="C21:C22"/>
    <mergeCell ref="D21:E21"/>
    <mergeCell ref="F21:F22"/>
    <mergeCell ref="G21:H21"/>
    <mergeCell ref="B1:B2"/>
    <mergeCell ref="C1:C2"/>
    <mergeCell ref="D1:G1"/>
    <mergeCell ref="H1:H2"/>
    <mergeCell ref="A1:A2"/>
    <mergeCell ref="B9:F9"/>
    <mergeCell ref="A9:A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workbookViewId="0">
      <selection activeCell="C7" sqref="C7"/>
    </sheetView>
  </sheetViews>
  <sheetFormatPr defaultRowHeight="15" x14ac:dyDescent="0.25"/>
  <cols>
    <col min="1" max="1" width="32.42578125" customWidth="1"/>
    <col min="2" max="2" width="13.28515625" customWidth="1"/>
    <col min="3" max="3" width="20.42578125" customWidth="1"/>
    <col min="5" max="5" width="15.140625" customWidth="1"/>
    <col min="6" max="6" width="12.5703125" customWidth="1"/>
  </cols>
  <sheetData>
    <row r="1" spans="1:8" x14ac:dyDescent="0.25">
      <c r="A1" s="29" t="s">
        <v>89</v>
      </c>
    </row>
    <row r="2" spans="1:8" x14ac:dyDescent="0.25">
      <c r="A2" t="s">
        <v>86</v>
      </c>
    </row>
    <row r="3" spans="1:8" x14ac:dyDescent="0.25">
      <c r="A3" t="s">
        <v>87</v>
      </c>
    </row>
    <row r="4" spans="1:8" x14ac:dyDescent="0.25">
      <c r="A4" t="s">
        <v>88</v>
      </c>
    </row>
    <row r="6" spans="1:8" x14ac:dyDescent="0.25">
      <c r="A6" s="29" t="s">
        <v>90</v>
      </c>
    </row>
    <row r="7" spans="1:8" x14ac:dyDescent="0.25">
      <c r="A7" t="s">
        <v>91</v>
      </c>
    </row>
    <row r="8" spans="1:8" x14ac:dyDescent="0.25">
      <c r="A8" t="s">
        <v>92</v>
      </c>
    </row>
    <row r="9" spans="1:8" x14ac:dyDescent="0.25">
      <c r="A9" t="s">
        <v>93</v>
      </c>
    </row>
    <row r="12" spans="1:8" x14ac:dyDescent="0.25">
      <c r="A12" s="24" t="s">
        <v>90</v>
      </c>
      <c r="B12" s="1" t="s">
        <v>91</v>
      </c>
      <c r="C12" s="1" t="s">
        <v>92</v>
      </c>
      <c r="D12" s="1" t="s">
        <v>93</v>
      </c>
      <c r="E12" s="1" t="s">
        <v>94</v>
      </c>
      <c r="F12" s="1" t="s">
        <v>95</v>
      </c>
      <c r="G12" s="20" t="s">
        <v>6</v>
      </c>
      <c r="H12" s="30" t="s">
        <v>96</v>
      </c>
    </row>
    <row r="13" spans="1:8" x14ac:dyDescent="0.25">
      <c r="A13" s="1" t="s">
        <v>91</v>
      </c>
      <c r="B13" s="1">
        <v>1</v>
      </c>
      <c r="C13" s="1">
        <f>1/5</f>
        <v>0.2</v>
      </c>
      <c r="D13" s="1">
        <f>1/3</f>
        <v>0.33333333333333331</v>
      </c>
      <c r="E13" s="1">
        <f>GEOMEAN(B13:D13)</f>
        <v>0.40548013303822666</v>
      </c>
      <c r="F13" s="23">
        <f>E13/E$16</f>
        <v>0.10065392971782092</v>
      </c>
      <c r="G13" s="1">
        <f>B16</f>
        <v>9</v>
      </c>
      <c r="H13" s="1">
        <f>F13*G13</f>
        <v>0.90588536746038828</v>
      </c>
    </row>
    <row r="14" spans="1:8" x14ac:dyDescent="0.25">
      <c r="A14" s="1" t="s">
        <v>92</v>
      </c>
      <c r="B14" s="1">
        <f>1/C13</f>
        <v>5</v>
      </c>
      <c r="C14" s="1">
        <v>1</v>
      </c>
      <c r="D14" s="1">
        <v>4</v>
      </c>
      <c r="E14" s="1">
        <f t="shared" ref="E14:E15" si="0">GEOMEAN(B14:D14)</f>
        <v>2.7144176165949068</v>
      </c>
      <c r="F14" s="23">
        <f t="shared" ref="F14:F15" si="1">E14/E$16</f>
        <v>0.67381057108364217</v>
      </c>
      <c r="G14" s="1">
        <f>C16</f>
        <v>1.45</v>
      </c>
      <c r="H14" s="1">
        <f t="shared" ref="H14:H15" si="2">F14*G14</f>
        <v>0.97702532807128117</v>
      </c>
    </row>
    <row r="15" spans="1:8" x14ac:dyDescent="0.25">
      <c r="A15" s="1" t="s">
        <v>93</v>
      </c>
      <c r="B15" s="1">
        <f>1/D13</f>
        <v>3</v>
      </c>
      <c r="C15" s="1">
        <f>1/D14</f>
        <v>0.25</v>
      </c>
      <c r="D15" s="1">
        <v>1</v>
      </c>
      <c r="E15" s="1">
        <f t="shared" si="0"/>
        <v>0.90856029641606983</v>
      </c>
      <c r="F15" s="23">
        <f t="shared" si="1"/>
        <v>0.22553549919853697</v>
      </c>
      <c r="G15" s="1">
        <f>D16</f>
        <v>5.333333333333333</v>
      </c>
      <c r="H15" s="1">
        <f t="shared" si="2"/>
        <v>1.2028559957255305</v>
      </c>
    </row>
    <row r="16" spans="1:8" x14ac:dyDescent="0.25">
      <c r="A16" s="1" t="s">
        <v>6</v>
      </c>
      <c r="B16" s="1">
        <f>SUM(B13:B15)</f>
        <v>9</v>
      </c>
      <c r="C16" s="1">
        <f t="shared" ref="C16:F16" si="3">SUM(C13:C15)</f>
        <v>1.45</v>
      </c>
      <c r="D16" s="1">
        <f t="shared" si="3"/>
        <v>5.333333333333333</v>
      </c>
      <c r="E16" s="1">
        <f t="shared" si="3"/>
        <v>4.0284580460492032</v>
      </c>
      <c r="F16" s="1">
        <f t="shared" si="3"/>
        <v>1</v>
      </c>
      <c r="G16" s="1"/>
      <c r="H16" s="1">
        <f>SUM(H13:H15)</f>
        <v>3.0857666912571999</v>
      </c>
    </row>
    <row r="18" spans="1:8" x14ac:dyDescent="0.25">
      <c r="A18" t="s">
        <v>99</v>
      </c>
      <c r="B18">
        <f>(H16-3)/(3-1)</f>
        <v>4.2883345628599967E-2</v>
      </c>
    </row>
    <row r="19" spans="1:8" x14ac:dyDescent="0.25">
      <c r="A19" t="s">
        <v>97</v>
      </c>
      <c r="B19">
        <v>0.57999999999999996</v>
      </c>
    </row>
    <row r="20" spans="1:8" x14ac:dyDescent="0.25">
      <c r="A20" t="s">
        <v>98</v>
      </c>
      <c r="B20" s="12">
        <f>B18/B19</f>
        <v>7.3936802807930982E-2</v>
      </c>
      <c r="C20" t="s">
        <v>100</v>
      </c>
    </row>
    <row r="21" spans="1:8" x14ac:dyDescent="0.25">
      <c r="C21" t="s">
        <v>101</v>
      </c>
    </row>
    <row r="24" spans="1:8" x14ac:dyDescent="0.25">
      <c r="A24" t="s">
        <v>91</v>
      </c>
    </row>
    <row r="25" spans="1:8" x14ac:dyDescent="0.25">
      <c r="A25" s="29" t="s">
        <v>89</v>
      </c>
      <c r="B25" s="1" t="s">
        <v>86</v>
      </c>
      <c r="C25" s="1" t="s">
        <v>87</v>
      </c>
      <c r="D25" s="1" t="s">
        <v>88</v>
      </c>
      <c r="E25" s="1" t="s">
        <v>94</v>
      </c>
      <c r="F25" s="1" t="s">
        <v>102</v>
      </c>
      <c r="G25" s="20" t="s">
        <v>6</v>
      </c>
      <c r="H25" s="30" t="s">
        <v>96</v>
      </c>
    </row>
    <row r="26" spans="1:8" x14ac:dyDescent="0.25">
      <c r="A26" s="1" t="s">
        <v>86</v>
      </c>
      <c r="B26" s="1">
        <v>1</v>
      </c>
      <c r="C26" s="1">
        <v>8</v>
      </c>
      <c r="D26" s="1">
        <v>4</v>
      </c>
      <c r="E26" s="1">
        <f>GEOMEAN(B26:D26)</f>
        <v>3.1748021039363987</v>
      </c>
      <c r="F26" s="23">
        <f>E26/E$29</f>
        <v>0.69861527976904847</v>
      </c>
      <c r="G26" s="1">
        <f>B29</f>
        <v>1.375</v>
      </c>
      <c r="H26" s="1">
        <f>F26*G26</f>
        <v>0.96059600968244163</v>
      </c>
    </row>
    <row r="27" spans="1:8" x14ac:dyDescent="0.25">
      <c r="A27" s="1" t="s">
        <v>87</v>
      </c>
      <c r="B27" s="1">
        <f>1/C26</f>
        <v>0.125</v>
      </c>
      <c r="C27" s="1">
        <v>1</v>
      </c>
      <c r="D27" s="1">
        <f>1/5</f>
        <v>0.2</v>
      </c>
      <c r="E27" s="1">
        <f t="shared" ref="E27:E28" si="4">GEOMEAN(B27:D27)</f>
        <v>0.29240177382128663</v>
      </c>
      <c r="F27" s="23">
        <f t="shared" ref="F27:F28" si="5">E27/E$29</f>
        <v>6.4343017402516023E-2</v>
      </c>
      <c r="G27" s="1">
        <f>C29</f>
        <v>14</v>
      </c>
      <c r="H27" s="1">
        <f t="shared" ref="H27:H28" si="6">F27*G27</f>
        <v>0.90080224363522432</v>
      </c>
    </row>
    <row r="28" spans="1:8" x14ac:dyDescent="0.25">
      <c r="A28" s="1" t="s">
        <v>88</v>
      </c>
      <c r="B28" s="1">
        <f>1/D26</f>
        <v>0.25</v>
      </c>
      <c r="C28" s="1">
        <f>1/D27</f>
        <v>5</v>
      </c>
      <c r="D28" s="1">
        <v>1</v>
      </c>
      <c r="E28" s="1">
        <f t="shared" si="4"/>
        <v>1.0772173450159419</v>
      </c>
      <c r="F28" s="23">
        <f t="shared" si="5"/>
        <v>0.23704170282843559</v>
      </c>
      <c r="G28" s="1">
        <f>D29</f>
        <v>5.2</v>
      </c>
      <c r="H28" s="1">
        <f t="shared" si="6"/>
        <v>1.2326168547078651</v>
      </c>
    </row>
    <row r="29" spans="1:8" x14ac:dyDescent="0.25">
      <c r="A29" s="1" t="s">
        <v>6</v>
      </c>
      <c r="B29" s="1">
        <f>SUM(B26:B28)</f>
        <v>1.375</v>
      </c>
      <c r="C29" s="1">
        <f t="shared" ref="C29" si="7">SUM(C26:C28)</f>
        <v>14</v>
      </c>
      <c r="D29" s="1">
        <f t="shared" ref="D29" si="8">SUM(D26:D28)</f>
        <v>5.2</v>
      </c>
      <c r="E29" s="1">
        <f t="shared" ref="E29" si="9">SUM(E26:E28)</f>
        <v>4.5444212227736269</v>
      </c>
      <c r="F29" s="1">
        <f t="shared" ref="F29" si="10">SUM(F26:F28)</f>
        <v>1</v>
      </c>
      <c r="G29" s="1"/>
      <c r="H29" s="1">
        <f>SUM(H26:H28)</f>
        <v>3.0940151080255309</v>
      </c>
    </row>
    <row r="31" spans="1:8" x14ac:dyDescent="0.25">
      <c r="A31" t="s">
        <v>99</v>
      </c>
      <c r="B31">
        <f>(H29-3)/(3-1)</f>
        <v>4.7007554012765462E-2</v>
      </c>
    </row>
    <row r="32" spans="1:8" x14ac:dyDescent="0.25">
      <c r="A32" t="s">
        <v>97</v>
      </c>
      <c r="B32">
        <v>0.57999999999999996</v>
      </c>
    </row>
    <row r="33" spans="1:8" x14ac:dyDescent="0.25">
      <c r="A33" t="s">
        <v>98</v>
      </c>
      <c r="B33" s="12">
        <f>B31/B32</f>
        <v>8.1047506918561149E-2</v>
      </c>
      <c r="C33" t="s">
        <v>100</v>
      </c>
    </row>
    <row r="34" spans="1:8" x14ac:dyDescent="0.25">
      <c r="C34" t="s">
        <v>101</v>
      </c>
    </row>
    <row r="37" spans="1:8" x14ac:dyDescent="0.25">
      <c r="A37" s="1" t="s">
        <v>92</v>
      </c>
    </row>
    <row r="38" spans="1:8" x14ac:dyDescent="0.25">
      <c r="A38" s="29" t="s">
        <v>89</v>
      </c>
      <c r="B38" s="1" t="s">
        <v>86</v>
      </c>
      <c r="C38" s="1" t="s">
        <v>87</v>
      </c>
      <c r="D38" s="1" t="s">
        <v>88</v>
      </c>
      <c r="E38" s="1" t="s">
        <v>94</v>
      </c>
      <c r="F38" s="1" t="s">
        <v>102</v>
      </c>
      <c r="G38" s="20" t="s">
        <v>6</v>
      </c>
      <c r="H38" s="30" t="s">
        <v>96</v>
      </c>
    </row>
    <row r="39" spans="1:8" x14ac:dyDescent="0.25">
      <c r="A39" s="1" t="s">
        <v>86</v>
      </c>
      <c r="B39" s="1">
        <v>1</v>
      </c>
      <c r="C39" s="1">
        <f>1/7</f>
        <v>0.14285714285714285</v>
      </c>
      <c r="D39" s="1">
        <f>1/5</f>
        <v>0.2</v>
      </c>
      <c r="E39" s="1">
        <f>GEOMEAN(B39:D39)</f>
        <v>0.30571070873287987</v>
      </c>
      <c r="F39" s="23">
        <f>E39/E$42</f>
        <v>6.9172877253410398E-2</v>
      </c>
      <c r="G39" s="1">
        <f>B42</f>
        <v>13</v>
      </c>
      <c r="H39" s="1">
        <f>F39*G39</f>
        <v>0.89924740429433514</v>
      </c>
    </row>
    <row r="40" spans="1:8" x14ac:dyDescent="0.25">
      <c r="A40" s="1" t="s">
        <v>87</v>
      </c>
      <c r="B40" s="1">
        <f>1/C39</f>
        <v>7</v>
      </c>
      <c r="C40" s="1">
        <v>1</v>
      </c>
      <c r="D40" s="1">
        <v>4</v>
      </c>
      <c r="E40" s="1">
        <f t="shared" ref="E40:E41" si="11">GEOMEAN(B40:D40)</f>
        <v>3.0365889718756627</v>
      </c>
      <c r="F40" s="23">
        <f t="shared" ref="F40:F41" si="12">E40/E$42</f>
        <v>0.68708615766596981</v>
      </c>
      <c r="G40" s="1">
        <f>C42</f>
        <v>1.3928571428571428</v>
      </c>
      <c r="H40" s="1">
        <f t="shared" ref="H40:H41" si="13">F40*G40</f>
        <v>0.95701286246331507</v>
      </c>
    </row>
    <row r="41" spans="1:8" x14ac:dyDescent="0.25">
      <c r="A41" s="1" t="s">
        <v>88</v>
      </c>
      <c r="B41" s="1">
        <f>1/D39</f>
        <v>5</v>
      </c>
      <c r="C41" s="1">
        <f>1/D40</f>
        <v>0.25</v>
      </c>
      <c r="D41" s="1">
        <v>1</v>
      </c>
      <c r="E41" s="1">
        <f t="shared" si="11"/>
        <v>1.0772173450159419</v>
      </c>
      <c r="F41" s="23">
        <f t="shared" si="12"/>
        <v>0.24374096508061974</v>
      </c>
      <c r="G41" s="1">
        <f>D42</f>
        <v>5.2</v>
      </c>
      <c r="H41" s="1">
        <f t="shared" si="13"/>
        <v>1.2674530184192228</v>
      </c>
    </row>
    <row r="42" spans="1:8" x14ac:dyDescent="0.25">
      <c r="A42" s="1" t="s">
        <v>6</v>
      </c>
      <c r="B42" s="1">
        <f>SUM(B39:B41)</f>
        <v>13</v>
      </c>
      <c r="C42" s="1">
        <f t="shared" ref="C42" si="14">SUM(C39:C41)</f>
        <v>1.3928571428571428</v>
      </c>
      <c r="D42" s="1">
        <f t="shared" ref="D42" si="15">SUM(D39:D41)</f>
        <v>5.2</v>
      </c>
      <c r="E42" s="1">
        <f t="shared" ref="E42" si="16">SUM(E39:E41)</f>
        <v>4.4195170256244847</v>
      </c>
      <c r="F42" s="1">
        <f t="shared" ref="F42" si="17">SUM(F39:F41)</f>
        <v>0.99999999999999989</v>
      </c>
      <c r="G42" s="1"/>
      <c r="H42" s="1">
        <f>SUM(H39:H41)</f>
        <v>3.1237132851768727</v>
      </c>
    </row>
    <row r="44" spans="1:8" x14ac:dyDescent="0.25">
      <c r="A44" t="s">
        <v>99</v>
      </c>
      <c r="B44">
        <f>(H42-3)/(3-1)</f>
        <v>6.1856642588436372E-2</v>
      </c>
    </row>
    <row r="45" spans="1:8" x14ac:dyDescent="0.25">
      <c r="A45" t="s">
        <v>97</v>
      </c>
      <c r="B45">
        <v>0.57999999999999996</v>
      </c>
    </row>
    <row r="46" spans="1:8" x14ac:dyDescent="0.25">
      <c r="A46" t="s">
        <v>98</v>
      </c>
      <c r="B46" s="12">
        <f>B44/B45</f>
        <v>0.10664938377316617</v>
      </c>
      <c r="C46" t="s">
        <v>100</v>
      </c>
    </row>
    <row r="47" spans="1:8" x14ac:dyDescent="0.25">
      <c r="C47" t="s">
        <v>101</v>
      </c>
    </row>
    <row r="49" spans="1:8" x14ac:dyDescent="0.25">
      <c r="A49" s="1" t="s">
        <v>93</v>
      </c>
    </row>
    <row r="50" spans="1:8" x14ac:dyDescent="0.25">
      <c r="A50" s="29" t="s">
        <v>89</v>
      </c>
      <c r="B50" s="1" t="s">
        <v>86</v>
      </c>
      <c r="C50" s="1" t="s">
        <v>87</v>
      </c>
      <c r="D50" s="1" t="s">
        <v>88</v>
      </c>
      <c r="E50" s="1" t="s">
        <v>94</v>
      </c>
      <c r="F50" s="1" t="s">
        <v>102</v>
      </c>
      <c r="G50" s="20" t="s">
        <v>6</v>
      </c>
      <c r="H50" s="30" t="s">
        <v>96</v>
      </c>
    </row>
    <row r="51" spans="1:8" x14ac:dyDescent="0.25">
      <c r="A51" s="1" t="s">
        <v>86</v>
      </c>
      <c r="B51" s="1">
        <v>1</v>
      </c>
      <c r="C51" s="1">
        <f>1/3</f>
        <v>0.33333333333333331</v>
      </c>
      <c r="D51" s="1">
        <f>1/4</f>
        <v>0.25</v>
      </c>
      <c r="E51" s="1">
        <f>GEOMEAN(B51:D51)</f>
        <v>0.43679023236814946</v>
      </c>
      <c r="F51" s="23">
        <f>E51/E$54</f>
        <v>0.11300607093657321</v>
      </c>
      <c r="G51" s="1">
        <f>B54</f>
        <v>8</v>
      </c>
      <c r="H51" s="1">
        <f>F51*G51</f>
        <v>0.90404856749258566</v>
      </c>
    </row>
    <row r="52" spans="1:8" x14ac:dyDescent="0.25">
      <c r="A52" s="1" t="s">
        <v>87</v>
      </c>
      <c r="B52" s="1">
        <f>1/C51</f>
        <v>3</v>
      </c>
      <c r="C52" s="1">
        <v>1</v>
      </c>
      <c r="D52" s="1">
        <f>1/4</f>
        <v>0.25</v>
      </c>
      <c r="E52" s="1">
        <f t="shared" ref="E52:E53" si="18">GEOMEAN(B52:D52)</f>
        <v>0.90856029641606983</v>
      </c>
      <c r="F52" s="23">
        <f t="shared" ref="F52:F53" si="19">E52/E$54</f>
        <v>0.23506210006182188</v>
      </c>
      <c r="G52" s="1">
        <f>C54</f>
        <v>5.333333333333333</v>
      </c>
      <c r="H52" s="1">
        <f t="shared" ref="H52:H53" si="20">F52*G52</f>
        <v>1.2536645336630499</v>
      </c>
    </row>
    <row r="53" spans="1:8" x14ac:dyDescent="0.25">
      <c r="A53" s="1" t="s">
        <v>88</v>
      </c>
      <c r="B53" s="1">
        <f>1/D51</f>
        <v>4</v>
      </c>
      <c r="C53" s="1">
        <f>1/D52</f>
        <v>4</v>
      </c>
      <c r="D53" s="1">
        <v>1</v>
      </c>
      <c r="E53" s="1">
        <f t="shared" si="18"/>
        <v>2.5198420997897464</v>
      </c>
      <c r="F53" s="23">
        <f t="shared" si="19"/>
        <v>0.65193182900160485</v>
      </c>
      <c r="G53" s="1">
        <f>D54</f>
        <v>1.5</v>
      </c>
      <c r="H53" s="1">
        <f t="shared" si="20"/>
        <v>0.97789774350240721</v>
      </c>
    </row>
    <row r="54" spans="1:8" x14ac:dyDescent="0.25">
      <c r="A54" s="1" t="s">
        <v>6</v>
      </c>
      <c r="B54" s="1">
        <f>SUM(B51:B53)</f>
        <v>8</v>
      </c>
      <c r="C54" s="1">
        <f t="shared" ref="C54" si="21">SUM(C51:C53)</f>
        <v>5.333333333333333</v>
      </c>
      <c r="D54" s="1">
        <f t="shared" ref="D54" si="22">SUM(D51:D53)</f>
        <v>1.5</v>
      </c>
      <c r="E54" s="1">
        <f t="shared" ref="E54" si="23">SUM(E51:E53)</f>
        <v>3.8651926285739657</v>
      </c>
      <c r="F54" s="1">
        <f t="shared" ref="F54" si="24">SUM(F51:F53)</f>
        <v>1</v>
      </c>
      <c r="G54" s="1"/>
      <c r="H54" s="1">
        <f>SUM(H51:H53)</f>
        <v>3.1356108446580429</v>
      </c>
    </row>
    <row r="56" spans="1:8" x14ac:dyDescent="0.25">
      <c r="A56" t="s">
        <v>99</v>
      </c>
      <c r="B56">
        <f>(H54-3)/(3-1)</f>
        <v>6.7805422329021425E-2</v>
      </c>
    </row>
    <row r="57" spans="1:8" x14ac:dyDescent="0.25">
      <c r="A57" t="s">
        <v>97</v>
      </c>
      <c r="B57">
        <v>0.57999999999999996</v>
      </c>
    </row>
    <row r="58" spans="1:8" x14ac:dyDescent="0.25">
      <c r="A58" t="s">
        <v>98</v>
      </c>
      <c r="B58" s="12">
        <f>B56/B57</f>
        <v>0.11690590056727833</v>
      </c>
      <c r="C58" t="s">
        <v>100</v>
      </c>
    </row>
    <row r="59" spans="1:8" x14ac:dyDescent="0.25">
      <c r="C59" t="s">
        <v>101</v>
      </c>
    </row>
    <row r="62" spans="1:8" ht="30" x14ac:dyDescent="0.25">
      <c r="A62" s="31" t="s">
        <v>89</v>
      </c>
      <c r="B62" s="32" t="s">
        <v>91</v>
      </c>
      <c r="C62" s="32" t="s">
        <v>92</v>
      </c>
      <c r="D62" s="32" t="s">
        <v>93</v>
      </c>
      <c r="E62" s="32" t="s">
        <v>103</v>
      </c>
      <c r="F62" s="32" t="s">
        <v>103</v>
      </c>
    </row>
    <row r="63" spans="1:8" x14ac:dyDescent="0.25">
      <c r="A63" s="1" t="s">
        <v>86</v>
      </c>
      <c r="B63" s="1">
        <f>F26</f>
        <v>0.69861527976904847</v>
      </c>
      <c r="C63" s="1">
        <f>F39</f>
        <v>6.9172877253410398E-2</v>
      </c>
      <c r="D63" s="1">
        <f>F51</f>
        <v>0.11300607093657321</v>
      </c>
      <c r="E63" s="1">
        <f>B63*$B$66+C63*$C$66+D63*$D$66</f>
        <v>0.14241466981643405</v>
      </c>
      <c r="F63" s="1">
        <f>SUMPRODUCT(B63:D63,$B$66:$D$66)</f>
        <v>0.14241466981643405</v>
      </c>
    </row>
    <row r="64" spans="1:8" x14ac:dyDescent="0.25">
      <c r="A64" s="1" t="s">
        <v>87</v>
      </c>
      <c r="B64" s="1">
        <f t="shared" ref="B64:B65" si="25">F27</f>
        <v>6.4343017402516023E-2</v>
      </c>
      <c r="C64" s="1">
        <f t="shared" ref="C64:C65" si="26">F40</f>
        <v>0.68708615766596981</v>
      </c>
      <c r="D64" s="1">
        <f t="shared" ref="D64:D65" si="27">F52</f>
        <v>0.23506210006182188</v>
      </c>
      <c r="E64" s="1">
        <f t="shared" ref="E64:E65" si="28">B64*$B$66+C64*$C$66+D64*$D$66</f>
        <v>0.52245714191213732</v>
      </c>
      <c r="F64" s="1">
        <f t="shared" ref="F64:F65" si="29">SUMPRODUCT(B64:D64,$B$66:$D$66)</f>
        <v>0.52245714191213732</v>
      </c>
    </row>
    <row r="65" spans="1:6" x14ac:dyDescent="0.25">
      <c r="A65" s="1" t="s">
        <v>88</v>
      </c>
      <c r="B65" s="1">
        <f t="shared" si="25"/>
        <v>0.23704170282843559</v>
      </c>
      <c r="C65" s="1">
        <f t="shared" si="26"/>
        <v>0.24374096508061974</v>
      </c>
      <c r="D65" s="1">
        <f t="shared" si="27"/>
        <v>0.65193182900160485</v>
      </c>
      <c r="E65" s="1">
        <f t="shared" si="28"/>
        <v>0.33512818827142865</v>
      </c>
      <c r="F65" s="1">
        <f t="shared" si="29"/>
        <v>0.33512818827142865</v>
      </c>
    </row>
    <row r="66" spans="1:6" x14ac:dyDescent="0.25">
      <c r="A66" s="20" t="s">
        <v>95</v>
      </c>
      <c r="B66" s="1">
        <f t="array" ref="B66:D66">TRANSPOSE(F13:F15)</f>
        <v>0.10065392971782092</v>
      </c>
      <c r="C66" s="1">
        <v>0.67381057108364217</v>
      </c>
      <c r="D66" s="1">
        <v>0.22553549919853697</v>
      </c>
      <c r="E66" s="1">
        <f>SUM(E63:E65)</f>
        <v>1</v>
      </c>
      <c r="F66" s="1">
        <f>SUM(F63:F65)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Коррел</vt:lpstr>
      <vt:lpstr>5-Регр</vt:lpstr>
      <vt:lpstr>1</vt:lpstr>
      <vt:lpstr>2</vt:lpstr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2020-09-07T07:18:40Z</dcterms:created>
  <dcterms:modified xsi:type="dcterms:W3CDTF">2020-09-07T20:08:36Z</dcterms:modified>
</cp:coreProperties>
</file>